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<sst xmlns="http://schemas.openxmlformats.org/spreadsheetml/2006/main" count="167" uniqueCount="120">
  <si>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</si>
  <si>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</si>
  <si>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</si>
  <si>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</si>
  <si>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</si>
  <si>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</si>
  <si>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</si>
  <si>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</si>
  <si>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</si>
  <si>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</si>
  <si>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</si>
  <si>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</si>
  <si>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</si>
  <si>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</si>
  <si>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</si>
  <si>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</si>
  <si>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</si>
  <si>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</si>
  <si>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</si>
  <si>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</si>
  <si>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</si>
  <si>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</si>
  <si>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</si>
  <si>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</si>
  <si>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</si>
  <si>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</si>
  <si>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</si>
  <si>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</si>
  <si>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</si>
  <si>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</si>
  <si>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</si>
  <si>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</si>
  <si>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</si>
  <si>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</si>
  <si>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</si>
  <si>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</si>
  <si>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</si>
  <si>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</si>
  <si>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</si>
  <si>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</si>
  <si>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</si>
  <si>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</si>
  <si>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</si>
  <si>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</si>
  <si>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</si>
  <si>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</si>
  <si>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</si>
  <si>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</si>
  <si>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</si>
  <si>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</si>
  <si>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</si>
  <si>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</si>
  <si>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</si>
  <si>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</si>
  <si>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</si>
  <si>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</si>
  <si>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</si>
  <si>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</si>
  <si>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</si>
  <si>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</si>
  <si>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</si>
  <si>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</si>
  <si>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</si>
  <si>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</si>
  <si>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</si>
  <si>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</si>
  <si>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</si>
  <si>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</si>
  <si>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</si>
  <si>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</si>
  <si>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</si>
  <si>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</si>
  <si>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</si>
  <si>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</si>
  <si>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</si>
  <si>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</si>
  <si>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</si>
  <si>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</si>
  <si>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</si>
  <si>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</si>
  <si>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</si>
  <si>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</si>
  <si>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</si>
  <si>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</si>
  <si>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</si>
  <si>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</si>
  <si>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</si>
  <si>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</si>
  <si>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</si>
  <si>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</si>
  <si>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</si>
  <si>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</si>
  <si>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</si>
  <si>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</si>
  <si>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</si>
  <si>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</si>
  <si>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</si>
  <si>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</si>
  <si>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</si>
  <si>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</si>
  <si>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</si>
  <si>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</si>
  <si>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</si>
  <si>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</si>
  <si>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</si>
  <si>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</si>
  <si>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</si>
  <si>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</si>
  <si>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</si>
  <si>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</si>
  <si>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</si>
  <si>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</si>
  <si>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</si>
  <si>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</si>
  <si>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Природоохоронні заходи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</si>
  <si>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</si>
  <si>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</si>
  <si>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</si>
  <si>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Пільгове перевезення (170102)</t>
  </si>
  <si>
    <t>Аналіз використання коштів міського бюджету за 2015 рік станом на 06.07.2015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</si>
</sst>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48771.1</c:v>
                </c:pt>
                <c:pt idx="1">
                  <c:v>39638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27233.5</c:v>
                </c:pt>
                <c:pt idx="1">
                  <c:v>23401.900000000005</c:v>
                </c:pt>
                <c:pt idx="2">
                  <c:v>995.1999999999999</c:v>
                </c:pt>
                <c:pt idx="3">
                  <c:v>2836.399999999995</c:v>
                </c:pt>
              </c:numCache>
            </c:numRef>
          </c:val>
          <c:shape val="box"/>
        </c:ser>
        <c:shape val="box"/>
        <c:axId val="36301955"/>
        <c:axId val="58282140"/>
      </c:bar3DChart>
      <c:catAx>
        <c:axId val="3630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82140"/>
        <c:crosses val="autoZero"/>
        <c:auto val="1"/>
        <c:lblOffset val="100"/>
        <c:tickLblSkip val="1"/>
        <c:noMultiLvlLbl val="0"/>
      </c:catAx>
      <c:valAx>
        <c:axId val="58282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019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339511.69999999995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3690.199999999952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206566.2</c:v>
                </c:pt>
                <c:pt idx="1">
                  <c:v>105853.20000000001</c:v>
                </c:pt>
                <c:pt idx="2">
                  <c:v>157436.89999999997</c:v>
                </c:pt>
                <c:pt idx="3">
                  <c:v>9</c:v>
                </c:pt>
                <c:pt idx="4">
                  <c:v>10149.799999999997</c:v>
                </c:pt>
                <c:pt idx="5">
                  <c:v>36829.20000000001</c:v>
                </c:pt>
                <c:pt idx="6">
                  <c:v>185.2</c:v>
                </c:pt>
                <c:pt idx="7">
                  <c:v>1956.1000000000392</c:v>
                </c:pt>
              </c:numCache>
            </c:numRef>
          </c:val>
          <c:shape val="box"/>
        </c:ser>
        <c:shape val="box"/>
        <c:axId val="54777213"/>
        <c:axId val="23232870"/>
      </c:bar3DChart>
      <c:catAx>
        <c:axId val="5477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32870"/>
        <c:crosses val="autoZero"/>
        <c:auto val="1"/>
        <c:lblOffset val="100"/>
        <c:tickLblSkip val="1"/>
        <c:noMultiLvlLbl val="0"/>
      </c:catAx>
      <c:valAx>
        <c:axId val="23232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772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12691.4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14823.900000000018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126543.39999999997</c:v>
                </c:pt>
                <c:pt idx="1">
                  <c:v>114957.90000000002</c:v>
                </c:pt>
                <c:pt idx="2">
                  <c:v>98972.29999999996</c:v>
                </c:pt>
                <c:pt idx="3">
                  <c:v>4934</c:v>
                </c:pt>
                <c:pt idx="4">
                  <c:v>1859.6</c:v>
                </c:pt>
                <c:pt idx="5">
                  <c:v>13341.2</c:v>
                </c:pt>
                <c:pt idx="6">
                  <c:v>773.5</c:v>
                </c:pt>
                <c:pt idx="7">
                  <c:v>6662.800000000007</c:v>
                </c:pt>
              </c:numCache>
            </c:numRef>
          </c:val>
          <c:shape val="box"/>
        </c:ser>
        <c:shape val="box"/>
        <c:axId val="7769239"/>
        <c:axId val="2814288"/>
      </c:bar3DChart>
      <c:catAx>
        <c:axId val="776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4288"/>
        <c:crosses val="autoZero"/>
        <c:auto val="1"/>
        <c:lblOffset val="100"/>
        <c:tickLblSkip val="1"/>
        <c:noMultiLvlLbl val="0"/>
      </c:catAx>
      <c:valAx>
        <c:axId val="2814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692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42251.299999999996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25962.699999999997</c:v>
                </c:pt>
                <c:pt idx="1">
                  <c:v>18866.5</c:v>
                </c:pt>
                <c:pt idx="2">
                  <c:v>1257.1000000000001</c:v>
                </c:pt>
                <c:pt idx="3">
                  <c:v>349.8</c:v>
                </c:pt>
                <c:pt idx="4">
                  <c:v>17</c:v>
                </c:pt>
                <c:pt idx="5">
                  <c:v>5472.2999999999965</c:v>
                </c:pt>
              </c:numCache>
            </c:numRef>
          </c:val>
          <c:shape val="box"/>
        </c:ser>
        <c:shape val="box"/>
        <c:axId val="25328593"/>
        <c:axId val="26630746"/>
      </c:bar3DChart>
      <c:catAx>
        <c:axId val="2532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30746"/>
        <c:crosses val="autoZero"/>
        <c:auto val="1"/>
        <c:lblOffset val="100"/>
        <c:tickLblSkip val="1"/>
        <c:noMultiLvlLbl val="0"/>
      </c:catAx>
      <c:valAx>
        <c:axId val="26630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285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8124.700000000003</c:v>
                </c:pt>
                <c:pt idx="1">
                  <c:v>5247.1</c:v>
                </c:pt>
                <c:pt idx="3">
                  <c:v>121.10000000000002</c:v>
                </c:pt>
                <c:pt idx="4">
                  <c:v>407.3000000000001</c:v>
                </c:pt>
                <c:pt idx="5">
                  <c:v>2349.200000000002</c:v>
                </c:pt>
              </c:numCache>
            </c:numRef>
          </c:val>
          <c:shape val="box"/>
        </c:ser>
        <c:shape val="box"/>
        <c:axId val="38350123"/>
        <c:axId val="9606788"/>
      </c:bar3DChart>
      <c:catAx>
        <c:axId val="383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06788"/>
        <c:crosses val="autoZero"/>
        <c:auto val="1"/>
        <c:lblOffset val="100"/>
        <c:tickLblSkip val="2"/>
        <c:noMultiLvlLbl val="0"/>
      </c:catAx>
      <c:valAx>
        <c:axId val="9606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01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2147.8999999999996</c:v>
                </c:pt>
                <c:pt idx="1">
                  <c:v>816.8999999999999</c:v>
                </c:pt>
                <c:pt idx="2">
                  <c:v>183.60000000000002</c:v>
                </c:pt>
                <c:pt idx="3">
                  <c:v>240.60000000000002</c:v>
                </c:pt>
                <c:pt idx="4">
                  <c:v>805.1</c:v>
                </c:pt>
                <c:pt idx="5">
                  <c:v>101.69999999999959</c:v>
                </c:pt>
              </c:numCache>
            </c:numRef>
          </c:val>
          <c:shape val="box"/>
        </c:ser>
        <c:shape val="box"/>
        <c:axId val="19352229"/>
        <c:axId val="39952334"/>
      </c:bar3DChart>
      <c:catAx>
        <c:axId val="1935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52334"/>
        <c:crosses val="autoZero"/>
        <c:auto val="1"/>
        <c:lblOffset val="100"/>
        <c:tickLblSkip val="1"/>
        <c:noMultiLvlLbl val="0"/>
      </c:catAx>
      <c:valAx>
        <c:axId val="39952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522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34154.100000000006</c:v>
                </c:pt>
              </c:numCache>
            </c:numRef>
          </c:val>
          <c:shape val="box"/>
        </c:ser>
        <c:shape val="box"/>
        <c:axId val="24026687"/>
        <c:axId val="14913592"/>
      </c:bar3DChart>
      <c:catAx>
        <c:axId val="2402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913592"/>
        <c:crosses val="autoZero"/>
        <c:auto val="1"/>
        <c:lblOffset val="100"/>
        <c:tickLblSkip val="1"/>
        <c:noMultiLvlLbl val="0"/>
      </c:catAx>
      <c:valAx>
        <c:axId val="14913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266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339511.69999999995</c:v>
                </c:pt>
                <c:pt idx="1">
                  <c:v>226686.80000000002</c:v>
                </c:pt>
                <c:pt idx="2">
                  <c:v>42251.299999999996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48771.1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206566.2</c:v>
                </c:pt>
                <c:pt idx="1">
                  <c:v>126543.39999999997</c:v>
                </c:pt>
                <c:pt idx="2">
                  <c:v>25962.699999999997</c:v>
                </c:pt>
                <c:pt idx="3">
                  <c:v>8124.700000000003</c:v>
                </c:pt>
                <c:pt idx="4">
                  <c:v>2147.8999999999996</c:v>
                </c:pt>
                <c:pt idx="5">
                  <c:v>27233.5</c:v>
                </c:pt>
                <c:pt idx="6">
                  <c:v>34154.100000000006</c:v>
                </c:pt>
              </c:numCache>
            </c:numRef>
          </c:val>
          <c:shape val="box"/>
        </c:ser>
        <c:shape val="box"/>
        <c:axId val="4601"/>
        <c:axId val="41410"/>
      </c:bar3DChart>
      <c:catAx>
        <c:axId val="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10"/>
        <c:crosses val="autoZero"/>
        <c:auto val="1"/>
        <c:lblOffset val="100"/>
        <c:tickLblSkip val="1"/>
        <c:noMultiLvlLbl val="0"/>
      </c:catAx>
      <c:valAx>
        <c:axId val="41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507335.6</c:v>
                </c:pt>
                <c:pt idx="1">
                  <c:v>99365.7</c:v>
                </c:pt>
                <c:pt idx="2">
                  <c:v>25986.7</c:v>
                </c:pt>
                <c:pt idx="3">
                  <c:v>14369.800000000001</c:v>
                </c:pt>
                <c:pt idx="4">
                  <c:v>12818.7</c:v>
                </c:pt>
                <c:pt idx="5">
                  <c:v>236306.20000000007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308710.89999999997</c:v>
                </c:pt>
                <c:pt idx="1">
                  <c:v>56192.3</c:v>
                </c:pt>
                <c:pt idx="2">
                  <c:v>12345.8</c:v>
                </c:pt>
                <c:pt idx="3">
                  <c:v>5035.700000000001</c:v>
                </c:pt>
                <c:pt idx="4">
                  <c:v>4943.7</c:v>
                </c:pt>
                <c:pt idx="5">
                  <c:v>144011.00000000006</c:v>
                </c:pt>
              </c:numCache>
            </c:numRef>
          </c:val>
          <c:shape val="box"/>
        </c:ser>
        <c:shape val="box"/>
        <c:axId val="372691"/>
        <c:axId val="3354220"/>
      </c:bar3DChart>
      <c:catAx>
        <c:axId val="3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4220"/>
        <c:crosses val="autoZero"/>
        <c:auto val="1"/>
        <c:lblOffset val="100"/>
        <c:tickLblSkip val="1"/>
        <c:noMultiLvlLbl val="0"/>
      </c:catAx>
      <c:valAx>
        <c:axId val="3354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f>231487.4+3758.4</f>
        <v>235245.8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</f>
        <v>206868.7</v>
      </c>
      <c r="E6" s="3">
        <f>D6/D145*100</f>
        <v>38.45009476436413</v>
      </c>
      <c r="F6" s="3">
        <f>D6/B6*100</f>
        <v>87.93725541539956</v>
      </c>
      <c r="G6" s="3">
        <f aca="true" t="shared" si="0" ref="G6:G43">D6/C6*100</f>
        <v>57.02425096451448</v>
      </c>
      <c r="H6" s="3">
        <f>B6-D6</f>
        <v>28377.099999999977</v>
      </c>
      <c r="I6" s="3">
        <f aca="true" t="shared" si="1" ref="I6:I43">C6-D6</f>
        <v>155904.49999999994</v>
      </c>
    </row>
    <row r="7" spans="1:9" s="44" customFormat="1" ht="18.75">
      <c r="A7" s="118" t="s">
        <v>107</v>
      </c>
      <c r="B7" s="109">
        <v>119017.1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</f>
        <v>105874.90000000001</v>
      </c>
      <c r="E7" s="107">
        <f>D7/D6*100</f>
        <v>51.179757981753646</v>
      </c>
      <c r="F7" s="107">
        <f>D7/B7*100</f>
        <v>88.9577212014072</v>
      </c>
      <c r="G7" s="107">
        <f>D7/C7*100</f>
        <v>60.86989267341397</v>
      </c>
      <c r="H7" s="107">
        <f>B7-D7</f>
        <v>13142.199999999997</v>
      </c>
      <c r="I7" s="107">
        <f t="shared" si="1"/>
        <v>68061.49999999999</v>
      </c>
    </row>
    <row r="8" spans="1:9" ht="18">
      <c r="A8" s="29" t="s">
        <v>3</v>
      </c>
      <c r="B8" s="49">
        <f>171004.1+3751.1</f>
        <v>174755.2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</f>
        <v>157486.39999999997</v>
      </c>
      <c r="E8" s="1">
        <f>D8/D6*100</f>
        <v>76.12867485511339</v>
      </c>
      <c r="F8" s="1">
        <f>D8/B8*100</f>
        <v>90.11829118675722</v>
      </c>
      <c r="G8" s="1">
        <f t="shared" si="0"/>
        <v>57.22223292077686</v>
      </c>
      <c r="H8" s="1">
        <f>B8-D8</f>
        <v>17268.800000000047</v>
      </c>
      <c r="I8" s="1">
        <f t="shared" si="1"/>
        <v>117732.50000000006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</f>
        <v>9</v>
      </c>
      <c r="E9" s="12">
        <f>D9/D6*100</f>
        <v>0.004350585661339777</v>
      </c>
      <c r="F9" s="136">
        <f>D9/B9*100</f>
        <v>35.714285714285715</v>
      </c>
      <c r="G9" s="1">
        <f t="shared" si="0"/>
        <v>19.91150442477876</v>
      </c>
      <c r="H9" s="1">
        <f aca="true" t="shared" si="2" ref="H9:H43">B9-D9</f>
        <v>16.2</v>
      </c>
      <c r="I9" s="1">
        <f t="shared" si="1"/>
        <v>36.2</v>
      </c>
    </row>
    <row r="10" spans="1:9" ht="18">
      <c r="A10" s="29" t="s">
        <v>1</v>
      </c>
      <c r="B10" s="49">
        <v>12920.9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</f>
        <v>10354.499999999998</v>
      </c>
      <c r="E10" s="1">
        <f>D10/D6*100</f>
        <v>5.005348803371413</v>
      </c>
      <c r="F10" s="1">
        <f aca="true" t="shared" si="3" ref="F10:F41">D10/B10*100</f>
        <v>80.13760651347816</v>
      </c>
      <c r="G10" s="1">
        <f t="shared" si="0"/>
        <v>46.832597604660414</v>
      </c>
      <c r="H10" s="1">
        <f t="shared" si="2"/>
        <v>2566.4000000000015</v>
      </c>
      <c r="I10" s="1">
        <f t="shared" si="1"/>
        <v>11755.1</v>
      </c>
    </row>
    <row r="11" spans="1:9" ht="18">
      <c r="A11" s="29" t="s">
        <v>0</v>
      </c>
      <c r="B11" s="49">
        <v>44109.1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</f>
        <v>36839.500000000015</v>
      </c>
      <c r="E11" s="1">
        <f>D11/D6*100</f>
        <v>17.808155607880753</v>
      </c>
      <c r="F11" s="1">
        <f t="shared" si="3"/>
        <v>83.51904709005629</v>
      </c>
      <c r="G11" s="1">
        <f t="shared" si="0"/>
        <v>59.993420827640364</v>
      </c>
      <c r="H11" s="1">
        <f t="shared" si="2"/>
        <v>7269.599999999984</v>
      </c>
      <c r="I11" s="1">
        <f t="shared" si="1"/>
        <v>24566.39999999998</v>
      </c>
    </row>
    <row r="12" spans="1:9" ht="18">
      <c r="A12" s="29" t="s">
        <v>15</v>
      </c>
      <c r="B12" s="49">
        <v>247.4</v>
      </c>
      <c r="C12" s="50">
        <f>286.2+9.9</f>
        <v>296.09999999999997</v>
      </c>
      <c r="D12" s="51">
        <f>3.8+3.8+12.7+7.4+5+16.3+3.8+110.9+3.8+1.2+5.4+9.9+1.2+1.2</f>
        <v>186.39999999999998</v>
      </c>
      <c r="E12" s="1">
        <f>D12/D6*100</f>
        <v>0.09010546303041492</v>
      </c>
      <c r="F12" s="1">
        <f t="shared" si="3"/>
        <v>75.34357316087306</v>
      </c>
      <c r="G12" s="1">
        <f t="shared" si="0"/>
        <v>62.95170550489699</v>
      </c>
      <c r="H12" s="1">
        <f t="shared" si="2"/>
        <v>61.00000000000003</v>
      </c>
      <c r="I12" s="1">
        <f t="shared" si="1"/>
        <v>109.69999999999999</v>
      </c>
    </row>
    <row r="13" spans="1:9" ht="18.75" thickBot="1">
      <c r="A13" s="29" t="s">
        <v>35</v>
      </c>
      <c r="B13" s="50">
        <f>B6-B8-B9-B10-B11-B12</f>
        <v>3187.9999999999795</v>
      </c>
      <c r="C13" s="50">
        <f>C6-C8-C9-C10-C11-C12</f>
        <v>3697.4999999999404</v>
      </c>
      <c r="D13" s="50">
        <f>D6-D8-D9-D10-D11-D12</f>
        <v>1992.900000000032</v>
      </c>
      <c r="E13" s="1">
        <f>D13/D6*100</f>
        <v>0.9633646849426867</v>
      </c>
      <c r="F13" s="1">
        <f t="shared" si="3"/>
        <v>62.512547051444315</v>
      </c>
      <c r="G13" s="1">
        <f t="shared" si="0"/>
        <v>53.898580121705585</v>
      </c>
      <c r="H13" s="1">
        <f t="shared" si="2"/>
        <v>1195.0999999999476</v>
      </c>
      <c r="I13" s="1">
        <f t="shared" si="1"/>
        <v>1704.5999999999085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147912.5+5992.3</f>
        <v>153904.8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</f>
        <v>131686.29999999996</v>
      </c>
      <c r="E18" s="3">
        <f>D18/D145*100</f>
        <v>24.476156683773247</v>
      </c>
      <c r="F18" s="3">
        <f>D18/B18*100</f>
        <v>85.56347820210934</v>
      </c>
      <c r="G18" s="3">
        <f t="shared" si="0"/>
        <v>53.834590830896815</v>
      </c>
      <c r="H18" s="3">
        <f>B18-D18</f>
        <v>22218.50000000003</v>
      </c>
      <c r="I18" s="3">
        <f t="shared" si="1"/>
        <v>112926.50000000006</v>
      </c>
    </row>
    <row r="19" spans="1:9" s="44" customFormat="1" ht="18.75">
      <c r="A19" s="118" t="s">
        <v>108</v>
      </c>
      <c r="B19" s="109">
        <v>133737.8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</f>
        <v>117137.30000000002</v>
      </c>
      <c r="E19" s="107">
        <f>D19/D18*100</f>
        <v>88.95177402660721</v>
      </c>
      <c r="F19" s="107">
        <f t="shared" si="3"/>
        <v>87.58727898918633</v>
      </c>
      <c r="G19" s="107">
        <f t="shared" si="0"/>
        <v>62.80173837331492</v>
      </c>
      <c r="H19" s="107">
        <f t="shared" si="2"/>
        <v>16600.49999999997</v>
      </c>
      <c r="I19" s="107">
        <f t="shared" si="1"/>
        <v>69381.9</v>
      </c>
    </row>
    <row r="20" spans="1:9" ht="18">
      <c r="A20" s="29" t="s">
        <v>5</v>
      </c>
      <c r="B20" s="49">
        <f>113270.7+7175</f>
        <v>120445.7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</f>
        <v>104061.49999999996</v>
      </c>
      <c r="E20" s="1">
        <f>D20/D18*100</f>
        <v>79.02226731254504</v>
      </c>
      <c r="F20" s="1">
        <f t="shared" si="3"/>
        <v>86.39702372106265</v>
      </c>
      <c r="G20" s="1">
        <f t="shared" si="0"/>
        <v>54.518111581866854</v>
      </c>
      <c r="H20" s="1">
        <f t="shared" si="2"/>
        <v>16384.20000000004</v>
      </c>
      <c r="I20" s="1">
        <f t="shared" si="1"/>
        <v>86813.60000000005</v>
      </c>
    </row>
    <row r="21" spans="1:9" ht="18">
      <c r="A21" s="29" t="s">
        <v>2</v>
      </c>
      <c r="B21" s="49">
        <f>7853.6+143.1</f>
        <v>7996.700000000001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</f>
        <v>4939.9</v>
      </c>
      <c r="E21" s="1">
        <f>D21/D18*100</f>
        <v>3.7512634192015426</v>
      </c>
      <c r="F21" s="1">
        <f t="shared" si="3"/>
        <v>61.77423187064663</v>
      </c>
      <c r="G21" s="1">
        <f t="shared" si="0"/>
        <v>38.007124556638686</v>
      </c>
      <c r="H21" s="1">
        <f t="shared" si="2"/>
        <v>3056.800000000001</v>
      </c>
      <c r="I21" s="1">
        <f t="shared" si="1"/>
        <v>8057.4</v>
      </c>
    </row>
    <row r="22" spans="1:9" ht="18">
      <c r="A22" s="29" t="s">
        <v>1</v>
      </c>
      <c r="B22" s="49">
        <v>2134.6</v>
      </c>
      <c r="C22" s="50">
        <v>3253.3</v>
      </c>
      <c r="D22" s="51">
        <f>173.9+19+7.6+19.5+89.8+0.1+92.4+48.6+202.1+56.1+96.9+242.1+36.1+19.2+171.7+0.1+22.2+39+81.6+82+84.2+0.1+30.3-30.3+115.9+98.3+38+4.5+18.6+10.9</f>
        <v>1870.5</v>
      </c>
      <c r="E22" s="1">
        <f>D22/D18*100</f>
        <v>1.420421106827362</v>
      </c>
      <c r="F22" s="1">
        <f t="shared" si="3"/>
        <v>87.62765857771949</v>
      </c>
      <c r="G22" s="1">
        <f t="shared" si="0"/>
        <v>57.49546614207113</v>
      </c>
      <c r="H22" s="1">
        <f t="shared" si="2"/>
        <v>264.0999999999999</v>
      </c>
      <c r="I22" s="1">
        <f t="shared" si="1"/>
        <v>1382.8000000000002</v>
      </c>
    </row>
    <row r="23" spans="1:9" ht="18">
      <c r="A23" s="29" t="s">
        <v>0</v>
      </c>
      <c r="B23" s="49">
        <f>14394.6+48.8</f>
        <v>14443.4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</f>
        <v>13343.1</v>
      </c>
      <c r="E23" s="1">
        <f>D23/D18*100</f>
        <v>10.132489104789189</v>
      </c>
      <c r="F23" s="1">
        <f t="shared" si="3"/>
        <v>92.38198762064334</v>
      </c>
      <c r="G23" s="1">
        <f t="shared" si="0"/>
        <v>52.07469851305467</v>
      </c>
      <c r="H23" s="1">
        <f t="shared" si="2"/>
        <v>1100.2999999999993</v>
      </c>
      <c r="I23" s="1">
        <f t="shared" si="1"/>
        <v>12279.9</v>
      </c>
    </row>
    <row r="24" spans="1:9" ht="18">
      <c r="A24" s="29" t="s">
        <v>15</v>
      </c>
      <c r="B24" s="49">
        <v>903.1</v>
      </c>
      <c r="C24" s="50">
        <v>1528.1</v>
      </c>
      <c r="D24" s="51">
        <f>111+58.1+166.1+55.7+24.9+10.1-0.1+89.8+44.2+0.1+106.9+106.7</f>
        <v>773.5</v>
      </c>
      <c r="E24" s="1">
        <f>D24/D18*100</f>
        <v>0.5873807677791845</v>
      </c>
      <c r="F24" s="1">
        <f t="shared" si="3"/>
        <v>85.64942974199977</v>
      </c>
      <c r="G24" s="1">
        <f t="shared" si="0"/>
        <v>50.618415025194686</v>
      </c>
      <c r="H24" s="1">
        <f t="shared" si="2"/>
        <v>129.60000000000002</v>
      </c>
      <c r="I24" s="1">
        <f t="shared" si="1"/>
        <v>754.5999999999999</v>
      </c>
    </row>
    <row r="25" spans="1:9" ht="18.75" thickBot="1">
      <c r="A25" s="29" t="s">
        <v>35</v>
      </c>
      <c r="B25" s="50">
        <f>B18-B20-B21-B22-B23-B24</f>
        <v>7981.299999999992</v>
      </c>
      <c r="C25" s="50">
        <f>C18-C20-C21-C22-C23-C24</f>
        <v>10336.000000000005</v>
      </c>
      <c r="D25" s="50">
        <f>D18-D20-D21-D22-D23-D24</f>
        <v>6697.800000000001</v>
      </c>
      <c r="E25" s="1">
        <f>D25/D18*100</f>
        <v>5.086178288857689</v>
      </c>
      <c r="F25" s="1">
        <f t="shared" si="3"/>
        <v>83.91865986744024</v>
      </c>
      <c r="G25" s="1">
        <f t="shared" si="0"/>
        <v>64.80069659442722</v>
      </c>
      <c r="H25" s="1">
        <f t="shared" si="2"/>
        <v>1283.499999999991</v>
      </c>
      <c r="I25" s="1">
        <f t="shared" si="1"/>
        <v>3638.2000000000044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29620.7+459.6</f>
        <v>30080.3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</f>
        <v>26505.3</v>
      </c>
      <c r="E33" s="3">
        <f>D33/D145*100</f>
        <v>4.926464451886151</v>
      </c>
      <c r="F33" s="3">
        <f>D33/B33*100</f>
        <v>88.11514512820683</v>
      </c>
      <c r="G33" s="3">
        <f t="shared" si="0"/>
        <v>59.169031094363554</v>
      </c>
      <c r="H33" s="3">
        <f t="shared" si="2"/>
        <v>3575</v>
      </c>
      <c r="I33" s="3">
        <f t="shared" si="1"/>
        <v>18290.599999999995</v>
      </c>
    </row>
    <row r="34" spans="1:9" ht="18">
      <c r="A34" s="29" t="s">
        <v>3</v>
      </c>
      <c r="B34" s="49">
        <f>21012.9+459.6</f>
        <v>21472.5</v>
      </c>
      <c r="C34" s="50">
        <f>29626.4+2544.6</f>
        <v>32171</v>
      </c>
      <c r="D34" s="51">
        <f>1216.2+1064.6-0.1+1185.2+1240.8+0.1+1202.8+1206.8+1191.1+1224.7+5.8+1196.2+1414.6+52.8+4003.5+27.3+1811.7+0.1+103.5+404.5+5.7+308.6+119.4</f>
        <v>18985.9</v>
      </c>
      <c r="E34" s="1">
        <f>D34/D33*100</f>
        <v>71.63057954446847</v>
      </c>
      <c r="F34" s="1">
        <f t="shared" si="3"/>
        <v>88.4196064733962</v>
      </c>
      <c r="G34" s="1">
        <f t="shared" si="0"/>
        <v>59.01557303161232</v>
      </c>
      <c r="H34" s="1">
        <f t="shared" si="2"/>
        <v>2486.5999999999985</v>
      </c>
      <c r="I34" s="1">
        <f t="shared" si="1"/>
        <v>13185.099999999999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1637.7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</f>
        <v>1257.3</v>
      </c>
      <c r="E36" s="1">
        <f>D36/D33*100</f>
        <v>4.743579585969599</v>
      </c>
      <c r="F36" s="1">
        <f t="shared" si="3"/>
        <v>76.77230261952738</v>
      </c>
      <c r="G36" s="1">
        <f t="shared" si="0"/>
        <v>47.01944652206432</v>
      </c>
      <c r="H36" s="1">
        <f t="shared" si="2"/>
        <v>380.4000000000001</v>
      </c>
      <c r="I36" s="1">
        <f t="shared" si="1"/>
        <v>1416.7</v>
      </c>
    </row>
    <row r="37" spans="1:9" s="44" customFormat="1" ht="18.75">
      <c r="A37" s="23" t="s">
        <v>7</v>
      </c>
      <c r="B37" s="58">
        <v>432.5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1.3197360527894422</v>
      </c>
      <c r="F37" s="19">
        <f t="shared" si="3"/>
        <v>80.87861271676302</v>
      </c>
      <c r="G37" s="19">
        <f t="shared" si="0"/>
        <v>67.85645004849661</v>
      </c>
      <c r="H37" s="19">
        <f t="shared" si="2"/>
        <v>82.69999999999999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0.0641381157730718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6500.599999999999</v>
      </c>
      <c r="C39" s="49">
        <f>C33-C34-C36-C37-C35-C38</f>
        <v>9388.199999999993</v>
      </c>
      <c r="D39" s="49">
        <f>D33-D34-D36-D37-D35-D38</f>
        <v>5895.299999999997</v>
      </c>
      <c r="E39" s="1">
        <f>D39/D33*100</f>
        <v>22.241966700999413</v>
      </c>
      <c r="F39" s="1">
        <f t="shared" si="3"/>
        <v>90.68855182598526</v>
      </c>
      <c r="G39" s="1">
        <f t="shared" si="0"/>
        <v>62.794784942800554</v>
      </c>
      <c r="H39" s="1">
        <f>B39-D39</f>
        <v>605.300000000002</v>
      </c>
      <c r="I39" s="1">
        <f t="shared" si="1"/>
        <v>3492.899999999996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558.8</v>
      </c>
      <c r="C43" s="53">
        <f>768.4+32.5+15+3</f>
        <v>818.9</v>
      </c>
      <c r="D43" s="54">
        <f>17.7+12.2+11.2+51.1+0.8+30+0.1+18.9+27.3+43.7+9+5.4+5.6+7.8+24.4+6.4-0.1+26.1+70.2+6+6+27.3+26.1+5.1+3+1+25.2+2+11</f>
        <v>480.5</v>
      </c>
      <c r="E43" s="3">
        <f>D43/D145*100</f>
        <v>0.08930916341755406</v>
      </c>
      <c r="F43" s="3">
        <f>D43/B43*100</f>
        <v>85.98783106657123</v>
      </c>
      <c r="G43" s="3">
        <f t="shared" si="0"/>
        <v>58.676273049212355</v>
      </c>
      <c r="H43" s="3">
        <f t="shared" si="2"/>
        <v>78.29999999999995</v>
      </c>
      <c r="I43" s="3">
        <f t="shared" si="1"/>
        <v>338.4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4485.1+178</f>
        <v>4663.1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</f>
        <v>3916.3999999999996</v>
      </c>
      <c r="E45" s="3">
        <f>D45/D145*100</f>
        <v>0.7279300886753562</v>
      </c>
      <c r="F45" s="3">
        <f>D45/B45*100</f>
        <v>83.98704724325017</v>
      </c>
      <c r="G45" s="3">
        <f aca="true" t="shared" si="4" ref="G45:G75">D45/C45*100</f>
        <v>52.13178036605656</v>
      </c>
      <c r="H45" s="3">
        <f>B45-D45</f>
        <v>746.7000000000007</v>
      </c>
      <c r="I45" s="3">
        <f aca="true" t="shared" si="5" ref="I45:I76">C45-D45</f>
        <v>3596.1000000000013</v>
      </c>
    </row>
    <row r="46" spans="1:9" ht="18">
      <c r="A46" s="29" t="s">
        <v>3</v>
      </c>
      <c r="B46" s="49">
        <f>3844.9+178</f>
        <v>4022.9</v>
      </c>
      <c r="C46" s="50">
        <f>5755.9+764.6</f>
        <v>6520.5</v>
      </c>
      <c r="D46" s="51">
        <f>193+222.7+1.6+196.4+240.9+0.1+199.7+265.9+214+253.1+238.6+255.9+243.9+273.5+83.6+206+267.9</f>
        <v>3356.8</v>
      </c>
      <c r="E46" s="1">
        <f>D46/D45*100</f>
        <v>85.71136758247371</v>
      </c>
      <c r="F46" s="1">
        <f aca="true" t="shared" si="6" ref="F46:F73">D46/B46*100</f>
        <v>83.44229287330036</v>
      </c>
      <c r="G46" s="1">
        <f t="shared" si="4"/>
        <v>51.48071466912047</v>
      </c>
      <c r="H46" s="1">
        <f aca="true" t="shared" si="7" ref="H46:H73">B46-D46</f>
        <v>666.0999999999999</v>
      </c>
      <c r="I46" s="1">
        <f t="shared" si="5"/>
        <v>3163.7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0.017873557348585437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39.4</v>
      </c>
      <c r="C48" s="50">
        <v>60.2</v>
      </c>
      <c r="D48" s="51">
        <f>3.8+1+5.7-0.1+1.3+4.1-0.1+4.6+1.1+4.8+5.5</f>
        <v>31.700000000000003</v>
      </c>
      <c r="E48" s="1">
        <f>D48/D45*100</f>
        <v>0.8094168113573691</v>
      </c>
      <c r="F48" s="1">
        <f t="shared" si="6"/>
        <v>80.45685279187819</v>
      </c>
      <c r="G48" s="1">
        <f t="shared" si="4"/>
        <v>52.657807308970106</v>
      </c>
      <c r="H48" s="1">
        <f t="shared" si="7"/>
        <v>7.699999999999996</v>
      </c>
      <c r="I48" s="1">
        <f t="shared" si="5"/>
        <v>28.5</v>
      </c>
    </row>
    <row r="49" spans="1:9" ht="18">
      <c r="A49" s="29" t="s">
        <v>0</v>
      </c>
      <c r="B49" s="49">
        <v>318.1</v>
      </c>
      <c r="C49" s="50">
        <v>538.3</v>
      </c>
      <c r="D49" s="51">
        <f>4.7+90.3+4.8+67.1+3.1+1.1+45.6+36.3+2.7+2+0.1+34.4+3.4+0.5+2.5+1.1+0.5+0.5+1.4+1.1</f>
        <v>303.19999999999993</v>
      </c>
      <c r="E49" s="1">
        <f>D49/D45*100</f>
        <v>7.741803697273005</v>
      </c>
      <c r="F49" s="1">
        <f t="shared" si="6"/>
        <v>95.3159383841559</v>
      </c>
      <c r="G49" s="1">
        <f t="shared" si="4"/>
        <v>56.32546906929221</v>
      </c>
      <c r="H49" s="1">
        <f t="shared" si="7"/>
        <v>14.900000000000091</v>
      </c>
      <c r="I49" s="1">
        <f t="shared" si="5"/>
        <v>235.10000000000002</v>
      </c>
    </row>
    <row r="50" spans="1:9" ht="18.75" thickBot="1">
      <c r="A50" s="29" t="s">
        <v>35</v>
      </c>
      <c r="B50" s="50">
        <f>B45-B46-B49-B48-B47</f>
        <v>281.7000000000003</v>
      </c>
      <c r="C50" s="50">
        <f>C45-C46-C49-C48-C47</f>
        <v>392.300000000001</v>
      </c>
      <c r="D50" s="50">
        <f>D45-D46-D49-D48-D47</f>
        <v>223.99999999999955</v>
      </c>
      <c r="E50" s="1">
        <f>D50/D45*100</f>
        <v>5.719538351547328</v>
      </c>
      <c r="F50" s="1">
        <f t="shared" si="6"/>
        <v>79.51721689740835</v>
      </c>
      <c r="G50" s="1">
        <f t="shared" si="4"/>
        <v>57.09915880703518</v>
      </c>
      <c r="H50" s="1">
        <f t="shared" si="7"/>
        <v>57.70000000000073</v>
      </c>
      <c r="I50" s="1">
        <f t="shared" si="5"/>
        <v>168.30000000000143</v>
      </c>
    </row>
    <row r="51" spans="1:9" ht="18.75" thickBot="1">
      <c r="A51" s="28" t="s">
        <v>4</v>
      </c>
      <c r="B51" s="52">
        <f>9491.7+83.6</f>
        <v>9575.300000000001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</f>
        <v>8124.700000000003</v>
      </c>
      <c r="E51" s="3">
        <f>D51/D145*100</f>
        <v>1.5101147971250817</v>
      </c>
      <c r="F51" s="3">
        <f>D51/B51*100</f>
        <v>84.85060520297016</v>
      </c>
      <c r="G51" s="3">
        <f t="shared" si="4"/>
        <v>54.720628249683465</v>
      </c>
      <c r="H51" s="3">
        <f>B51-D51</f>
        <v>1450.5999999999985</v>
      </c>
      <c r="I51" s="3">
        <f t="shared" si="5"/>
        <v>6722.899999999998</v>
      </c>
    </row>
    <row r="52" spans="1:9" ht="18">
      <c r="A52" s="29" t="s">
        <v>3</v>
      </c>
      <c r="B52" s="49">
        <f>5755+83.6</f>
        <v>5838.6</v>
      </c>
      <c r="C52" s="50">
        <f>8729.1+639.9</f>
        <v>9369</v>
      </c>
      <c r="D52" s="51">
        <f>260.4+390.2+0.1+271.7+395.7-0.1+282.9+391.4+0.1+7.8+263.9+397.2+272.6+486-0.1+358+766.6-0.1+295.1+13.6+394.1</f>
        <v>5247.1</v>
      </c>
      <c r="E52" s="1">
        <f>D52/D51*100</f>
        <v>64.58207687668465</v>
      </c>
      <c r="F52" s="1">
        <f t="shared" si="6"/>
        <v>89.86914671325317</v>
      </c>
      <c r="G52" s="1">
        <f t="shared" si="4"/>
        <v>56.00490980894439</v>
      </c>
      <c r="H52" s="1">
        <f t="shared" si="7"/>
        <v>591.5</v>
      </c>
      <c r="I52" s="1">
        <f t="shared" si="5"/>
        <v>4121.9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160.1</v>
      </c>
      <c r="C54" s="50">
        <f>189.7+74</f>
        <v>263.7</v>
      </c>
      <c r="D54" s="51">
        <f>1.7+1.5+4.6+9.7+8-0.1+0.1+5.9+12.1+0.1+17.6+12.8+4+10.7+8.4+14.1+1.9+4.9+0.7+2.4</f>
        <v>121.10000000000002</v>
      </c>
      <c r="E54" s="1">
        <f>D54/D51*100</f>
        <v>1.4905165729196153</v>
      </c>
      <c r="F54" s="1">
        <f t="shared" si="6"/>
        <v>75.64022485946286</v>
      </c>
      <c r="G54" s="1">
        <f t="shared" si="4"/>
        <v>45.92339780053092</v>
      </c>
      <c r="H54" s="1">
        <f t="shared" si="7"/>
        <v>38.99999999999997</v>
      </c>
      <c r="I54" s="1">
        <f t="shared" si="5"/>
        <v>142.59999999999997</v>
      </c>
    </row>
    <row r="55" spans="1:9" ht="18">
      <c r="A55" s="29" t="s">
        <v>0</v>
      </c>
      <c r="B55" s="49">
        <v>431.4</v>
      </c>
      <c r="C55" s="50">
        <f>709.9+0.6</f>
        <v>710.5</v>
      </c>
      <c r="D55" s="51">
        <f>1.1+7.6+5.9+0.3+0.2+6.8+0.3+67.1+16.4-0.1+19.5+19.3+76.2+4.5+12.1+86.4+1+0.1+7.3+44.6+0.6+0.7+4.7+3.3+0.6+3.6+2.4+6.1+0.1+1.4+1.4+0.4+0.1+0.5+4.8</f>
        <v>407.3000000000001</v>
      </c>
      <c r="E55" s="1">
        <f>D55/D51*100</f>
        <v>5.013108176301894</v>
      </c>
      <c r="F55" s="1">
        <f t="shared" si="6"/>
        <v>94.41353732035238</v>
      </c>
      <c r="G55" s="1">
        <f t="shared" si="4"/>
        <v>57.32582688247715</v>
      </c>
      <c r="H55" s="1">
        <f t="shared" si="7"/>
        <v>24.099999999999852</v>
      </c>
      <c r="I55" s="1">
        <f t="shared" si="5"/>
        <v>303.1999999999999</v>
      </c>
    </row>
    <row r="56" spans="1:9" ht="18.75" thickBot="1">
      <c r="A56" s="29" t="s">
        <v>35</v>
      </c>
      <c r="B56" s="50">
        <f>B51-B52-B55-B54-B53</f>
        <v>3145.2000000000007</v>
      </c>
      <c r="C56" s="50">
        <f>C51-C52-C55-C54-C53</f>
        <v>4493.500000000001</v>
      </c>
      <c r="D56" s="50">
        <f>D51-D52-D55-D54-D53</f>
        <v>2349.200000000002</v>
      </c>
      <c r="E56" s="1">
        <f>D56/D51*100</f>
        <v>28.91429837409383</v>
      </c>
      <c r="F56" s="1">
        <f t="shared" si="6"/>
        <v>74.6915935393616</v>
      </c>
      <c r="G56" s="1">
        <f t="shared" si="4"/>
        <v>52.279959942138674</v>
      </c>
      <c r="H56" s="1">
        <f t="shared" si="7"/>
        <v>795.9999999999986</v>
      </c>
      <c r="I56" s="1">
        <f>C56-D56</f>
        <v>2144.299999999999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3866.6+1.8</f>
        <v>3868.4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</f>
        <v>2147.8999999999996</v>
      </c>
      <c r="E58" s="3">
        <f>D58/D145*100</f>
        <v>0.39922404184092475</v>
      </c>
      <c r="F58" s="3">
        <f>D58/B58*100</f>
        <v>55.52424775100816</v>
      </c>
      <c r="G58" s="3">
        <f t="shared" si="4"/>
        <v>38.17131686511462</v>
      </c>
      <c r="H58" s="3">
        <f>B58-D58</f>
        <v>1720.5000000000005</v>
      </c>
      <c r="I58" s="3">
        <f t="shared" si="5"/>
        <v>3479.1000000000004</v>
      </c>
    </row>
    <row r="59" spans="1:9" ht="18">
      <c r="A59" s="29" t="s">
        <v>3</v>
      </c>
      <c r="B59" s="49">
        <f>955.7+41</f>
        <v>996.7</v>
      </c>
      <c r="C59" s="50">
        <f>1426.1+141.2</f>
        <v>1567.3</v>
      </c>
      <c r="D59" s="51">
        <f>36.1+65.6+39.2+69.1+1.8+43+66+41.2+71.4+46.8+1.2+82.5+0.1+44.9+89.3+53.8+64.9</f>
        <v>816.8999999999999</v>
      </c>
      <c r="E59" s="1">
        <f>D59/D58*100</f>
        <v>38.0324968573956</v>
      </c>
      <c r="F59" s="1">
        <f t="shared" si="6"/>
        <v>81.96046954951338</v>
      </c>
      <c r="G59" s="1">
        <f t="shared" si="4"/>
        <v>52.12148280482357</v>
      </c>
      <c r="H59" s="1">
        <f t="shared" si="7"/>
        <v>179.80000000000018</v>
      </c>
      <c r="I59" s="1">
        <f t="shared" si="5"/>
        <v>750.4000000000001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</f>
        <v>183.60000000000002</v>
      </c>
      <c r="E60" s="1">
        <f>D60/D58*100</f>
        <v>8.547883979701105</v>
      </c>
      <c r="F60" s="1">
        <f>D60/B60*100</f>
        <v>61.22040680226743</v>
      </c>
      <c r="G60" s="1">
        <f t="shared" si="4"/>
        <v>61.22040680226743</v>
      </c>
      <c r="H60" s="1">
        <f t="shared" si="7"/>
        <v>116.29999999999995</v>
      </c>
      <c r="I60" s="1">
        <f t="shared" si="5"/>
        <v>116.29999999999995</v>
      </c>
    </row>
    <row r="61" spans="1:9" ht="18">
      <c r="A61" s="29" t="s">
        <v>0</v>
      </c>
      <c r="B61" s="49">
        <v>291.3</v>
      </c>
      <c r="C61" s="50">
        <f>420.8+44</f>
        <v>464.8</v>
      </c>
      <c r="D61" s="51">
        <f>1.3+56.1+4.9+63.5+3.5+0.7+63-0.1+10.3+25.7+2.8+0.3+7.3+0.2+1+0.1</f>
        <v>240.60000000000002</v>
      </c>
      <c r="E61" s="1">
        <f>D61/D58*100</f>
        <v>11.201638810000468</v>
      </c>
      <c r="F61" s="1">
        <f t="shared" si="6"/>
        <v>82.59526261585994</v>
      </c>
      <c r="G61" s="1">
        <f t="shared" si="4"/>
        <v>51.76419965576592</v>
      </c>
      <c r="H61" s="1">
        <f t="shared" si="7"/>
        <v>50.69999999999999</v>
      </c>
      <c r="I61" s="1">
        <f t="shared" si="5"/>
        <v>224.2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</f>
        <v>805.1</v>
      </c>
      <c r="E62" s="1">
        <f>D62/D58*100</f>
        <v>37.483123050421355</v>
      </c>
      <c r="F62" s="1">
        <f>D62/B62*100</f>
        <v>38.52706130066516</v>
      </c>
      <c r="G62" s="1">
        <f t="shared" si="4"/>
        <v>26.057546040068612</v>
      </c>
      <c r="H62" s="1">
        <f t="shared" si="7"/>
        <v>1284.6000000000004</v>
      </c>
      <c r="I62" s="1">
        <f t="shared" si="5"/>
        <v>2284.6000000000004</v>
      </c>
    </row>
    <row r="63" spans="1:9" ht="18.75" thickBot="1">
      <c r="A63" s="29" t="s">
        <v>35</v>
      </c>
      <c r="B63" s="50">
        <f>B58-B59-B61-B62-B60</f>
        <v>190.7999999999994</v>
      </c>
      <c r="C63" s="50">
        <f>C58-C59-C61-C62-C60</f>
        <v>205.2999999999994</v>
      </c>
      <c r="D63" s="50">
        <f>D58-D59-D61-D62-D60</f>
        <v>101.69999999999959</v>
      </c>
      <c r="E63" s="1">
        <f>D63/D58*100</f>
        <v>4.734857302481475</v>
      </c>
      <c r="F63" s="1">
        <f t="shared" si="6"/>
        <v>53.30188679245279</v>
      </c>
      <c r="G63" s="1">
        <f t="shared" si="4"/>
        <v>49.5372625426205</v>
      </c>
      <c r="H63" s="1">
        <f t="shared" si="7"/>
        <v>89.0999999999998</v>
      </c>
      <c r="I63" s="1">
        <f t="shared" si="5"/>
        <v>103.5999999999998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316.8</v>
      </c>
      <c r="C68" s="53">
        <f>C69+C70</f>
        <v>405.6</v>
      </c>
      <c r="D68" s="54">
        <f>SUM(D69:D70)</f>
        <v>243.29999999999998</v>
      </c>
      <c r="E68" s="42">
        <f>D68/D145*100</f>
        <v>0.04522147650258252</v>
      </c>
      <c r="F68" s="111">
        <f>D68/B68*100</f>
        <v>76.79924242424242</v>
      </c>
      <c r="G68" s="3">
        <f t="shared" si="4"/>
        <v>59.98520710059171</v>
      </c>
      <c r="H68" s="3">
        <f>B68-D68</f>
        <v>73.50000000000003</v>
      </c>
      <c r="I68" s="3">
        <f t="shared" si="5"/>
        <v>162.30000000000004</v>
      </c>
    </row>
    <row r="69" spans="1:9" ht="18">
      <c r="A69" s="29" t="s">
        <v>8</v>
      </c>
      <c r="B69" s="49">
        <v>239.8</v>
      </c>
      <c r="C69" s="50">
        <f>250.3-5</f>
        <v>245.3</v>
      </c>
      <c r="D69" s="51">
        <f>0.2+12.6+73.3+85.8+22+1.3+2.3+2.7+1.6+2.5+7.9-0.2+3.6+5.1+14.9+0.1</f>
        <v>235.7</v>
      </c>
      <c r="E69" s="1">
        <f>D69/D68*100</f>
        <v>96.87628442252364</v>
      </c>
      <c r="F69" s="1">
        <f t="shared" si="6"/>
        <v>98.29024186822352</v>
      </c>
      <c r="G69" s="1">
        <f t="shared" si="4"/>
        <v>96.08642478597635</v>
      </c>
      <c r="H69" s="1">
        <f t="shared" si="7"/>
        <v>4.100000000000023</v>
      </c>
      <c r="I69" s="1">
        <f t="shared" si="5"/>
        <v>9.600000000000023</v>
      </c>
    </row>
    <row r="70" spans="1:9" ht="18.75" thickBot="1">
      <c r="A70" s="29" t="s">
        <v>9</v>
      </c>
      <c r="B70" s="49">
        <f>88-11</f>
        <v>77</v>
      </c>
      <c r="C70" s="50">
        <f>242.8-42.9-28.6-11</f>
        <v>160.3</v>
      </c>
      <c r="D70" s="51">
        <f>7.4+0.2</f>
        <v>7.6000000000000005</v>
      </c>
      <c r="E70" s="1">
        <f>D70/D69*100</f>
        <v>3.224437844717862</v>
      </c>
      <c r="F70" s="1">
        <f t="shared" si="6"/>
        <v>9.87012987012987</v>
      </c>
      <c r="G70" s="1">
        <f t="shared" si="4"/>
        <v>4.741110417966313</v>
      </c>
      <c r="H70" s="1">
        <f t="shared" si="7"/>
        <v>69.4</v>
      </c>
      <c r="I70" s="1">
        <f t="shared" si="5"/>
        <v>152.70000000000002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185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185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32788.9+37+369.9</f>
        <v>33195.8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</f>
        <v>27454.1</v>
      </c>
      <c r="E89" s="3">
        <f>D89/D145*100</f>
        <v>5.102815199546037</v>
      </c>
      <c r="F89" s="3">
        <f aca="true" t="shared" si="10" ref="F89:F95">D89/B89*100</f>
        <v>82.70353478452093</v>
      </c>
      <c r="G89" s="3">
        <f t="shared" si="8"/>
        <v>54.41465904248466</v>
      </c>
      <c r="H89" s="3">
        <f aca="true" t="shared" si="11" ref="H89:H95">B89-D89</f>
        <v>5741.700000000004</v>
      </c>
      <c r="I89" s="3">
        <f t="shared" si="9"/>
        <v>22999.4</v>
      </c>
    </row>
    <row r="90" spans="1:9" ht="18">
      <c r="A90" s="29" t="s">
        <v>3</v>
      </c>
      <c r="B90" s="49">
        <f>26794.3+369.9</f>
        <v>27164.2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</f>
        <v>23498.300000000007</v>
      </c>
      <c r="E90" s="1">
        <f>D90/D89*100</f>
        <v>85.59122316885276</v>
      </c>
      <c r="F90" s="1">
        <f t="shared" si="10"/>
        <v>86.50466422718138</v>
      </c>
      <c r="G90" s="1">
        <f t="shared" si="8"/>
        <v>56.86852014985335</v>
      </c>
      <c r="H90" s="1">
        <f t="shared" si="11"/>
        <v>3665.899999999994</v>
      </c>
      <c r="I90" s="1">
        <f t="shared" si="9"/>
        <v>17822.099999999995</v>
      </c>
    </row>
    <row r="91" spans="1:9" ht="18">
      <c r="A91" s="29" t="s">
        <v>33</v>
      </c>
      <c r="B91" s="49">
        <v>1447.3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</f>
        <v>1011.5999999999999</v>
      </c>
      <c r="E91" s="1">
        <f>D91/D89*100</f>
        <v>3.6846955463846927</v>
      </c>
      <c r="F91" s="1">
        <f t="shared" si="10"/>
        <v>69.89566779520486</v>
      </c>
      <c r="G91" s="1">
        <f t="shared" si="8"/>
        <v>39.28391130441536</v>
      </c>
      <c r="H91" s="1">
        <f t="shared" si="11"/>
        <v>435.70000000000005</v>
      </c>
      <c r="I91" s="1">
        <f t="shared" si="9"/>
        <v>1563.5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4584.300000000002</v>
      </c>
      <c r="C93" s="50">
        <f>C89-C90-C91-C92</f>
        <v>6557.999999999998</v>
      </c>
      <c r="D93" s="50">
        <f>D89-D90-D91-D92</f>
        <v>2944.199999999992</v>
      </c>
      <c r="E93" s="1">
        <f>D93/D89*100</f>
        <v>10.724081284762539</v>
      </c>
      <c r="F93" s="1">
        <f t="shared" si="10"/>
        <v>64.22354557947759</v>
      </c>
      <c r="G93" s="1">
        <f>D93/C93*100</f>
        <v>44.894784995425326</v>
      </c>
      <c r="H93" s="1">
        <f t="shared" si="11"/>
        <v>1640.10000000001</v>
      </c>
      <c r="I93" s="1">
        <f>C93-D93</f>
        <v>3613.800000000006</v>
      </c>
    </row>
    <row r="94" spans="1:9" ht="18.75">
      <c r="A94" s="122" t="s">
        <v>12</v>
      </c>
      <c r="B94" s="127">
        <f>36444.6+830</f>
        <v>37274.6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</f>
        <v>34325.100000000006</v>
      </c>
      <c r="E94" s="121">
        <f>D94/D145*100</f>
        <v>6.379908356345235</v>
      </c>
      <c r="F94" s="125">
        <f t="shared" si="10"/>
        <v>92.08710489180302</v>
      </c>
      <c r="G94" s="120">
        <f>D94/C94*100</f>
        <v>66.8215611573675</v>
      </c>
      <c r="H94" s="126">
        <f t="shared" si="11"/>
        <v>2949.4999999999927</v>
      </c>
      <c r="I94" s="121">
        <f>C94-D94</f>
        <v>17043.199999999997</v>
      </c>
    </row>
    <row r="95" spans="1:9" ht="18.75" thickBot="1">
      <c r="A95" s="123" t="s">
        <v>110</v>
      </c>
      <c r="B95" s="130">
        <v>3233</v>
      </c>
      <c r="C95" s="131">
        <f>4853.7+35</f>
        <v>4888.7</v>
      </c>
      <c r="D95" s="132">
        <f>600+69+9+48.5+2.5+299.7+50.5+190.4+1.3+10.6+6.7+53.3-0.1+0.9+266.8+7.4+4.8+52.9+0.1+200.2+15.7+7.1+5.9+55+13+150.2+100.5+23.9+52.6+56+166.1</f>
        <v>2520.5</v>
      </c>
      <c r="E95" s="133">
        <f>D95/D94*100</f>
        <v>7.3430230356211625</v>
      </c>
      <c r="F95" s="134">
        <f t="shared" si="10"/>
        <v>77.96164553046707</v>
      </c>
      <c r="G95" s="135">
        <f>D95/C95*100</f>
        <v>51.55767381921574</v>
      </c>
      <c r="H95" s="124">
        <f t="shared" si="11"/>
        <v>712.5</v>
      </c>
      <c r="I95" s="96">
        <f>C95-D95</f>
        <v>2368.2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6391.6+3.8</f>
        <v>6395.400000000001</v>
      </c>
      <c r="C101" s="104">
        <f>6061.2+4589.8-16.4-3.1+0.1-234+3.8</f>
        <v>10401.4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</f>
        <v>3610.3999999999996</v>
      </c>
      <c r="E101" s="25">
        <f>D101/D145*100</f>
        <v>0.6710547421492968</v>
      </c>
      <c r="F101" s="25">
        <f>D101/B101*100</f>
        <v>56.45307564812207</v>
      </c>
      <c r="G101" s="25">
        <f aca="true" t="shared" si="12" ref="G101:G143">D101/C101*100</f>
        <v>34.710712019535826</v>
      </c>
      <c r="H101" s="25">
        <f aca="true" t="shared" si="13" ref="H101:H106">B101-D101</f>
        <v>2785.000000000001</v>
      </c>
      <c r="I101" s="25">
        <f aca="true" t="shared" si="14" ref="I101:I143">C101-D101</f>
        <v>6791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5759.8-4.8</f>
        <v>5755</v>
      </c>
      <c r="C103" s="51">
        <f>5036.9+4586-16.4-3.1+0.1-234-4.8</f>
        <v>9364.7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</f>
        <v>3254.9</v>
      </c>
      <c r="E103" s="1">
        <f>D103/D101*100</f>
        <v>90.15344560159541</v>
      </c>
      <c r="F103" s="1">
        <f aca="true" t="shared" si="15" ref="F103:F143">D103/B103*100</f>
        <v>56.55777584708949</v>
      </c>
      <c r="G103" s="1">
        <f t="shared" si="12"/>
        <v>34.757119822311445</v>
      </c>
      <c r="H103" s="1">
        <f t="shared" si="13"/>
        <v>2500.1</v>
      </c>
      <c r="I103" s="1">
        <f t="shared" si="14"/>
        <v>6109.800000000001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640.4000000000005</v>
      </c>
      <c r="C105" s="100">
        <f>C101-C102-C103</f>
        <v>1036.699999999999</v>
      </c>
      <c r="D105" s="100">
        <f>D101-D102-D103</f>
        <v>355.49999999999955</v>
      </c>
      <c r="E105" s="96">
        <f>D105/D101*100</f>
        <v>9.846554398404598</v>
      </c>
      <c r="F105" s="96">
        <f t="shared" si="15"/>
        <v>55.51217988757015</v>
      </c>
      <c r="G105" s="96">
        <f t="shared" si="12"/>
        <v>34.29150188096845</v>
      </c>
      <c r="H105" s="96">
        <f>B105-D105</f>
        <v>284.900000000001</v>
      </c>
      <c r="I105" s="96">
        <f t="shared" si="14"/>
        <v>681.1999999999994</v>
      </c>
    </row>
    <row r="106" spans="1:9" s="2" customFormat="1" ht="26.25" customHeight="1" thickBot="1">
      <c r="A106" s="92" t="s">
        <v>36</v>
      </c>
      <c r="B106" s="93">
        <f>SUM(B107:B142)-B114-B118+B143-B134-B135-B108-B111-B121-B122-B132</f>
        <v>119122.79999999997</v>
      </c>
      <c r="C106" s="93">
        <f>SUM(C107:C142)-C114-C118+C143-C134-C135-C108-C111-C121-C122-C132</f>
        <v>173076.19999999998</v>
      </c>
      <c r="D106" s="93">
        <f>SUM(D107:D142)-D114-D118+D143-D134-D135-D108-D111-D121-D122-D132</f>
        <v>92655.99999999999</v>
      </c>
      <c r="E106" s="94">
        <f>D106/D145*100</f>
        <v>17.221706234374377</v>
      </c>
      <c r="F106" s="94">
        <f>D106/B106*100</f>
        <v>77.78191916241056</v>
      </c>
      <c r="G106" s="94">
        <f t="shared" si="12"/>
        <v>53.53480143428154</v>
      </c>
      <c r="H106" s="94">
        <f t="shared" si="13"/>
        <v>26466.79999999999</v>
      </c>
      <c r="I106" s="94">
        <f t="shared" si="14"/>
        <v>80420.2</v>
      </c>
    </row>
    <row r="107" spans="1:9" ht="37.5">
      <c r="A107" s="34" t="s">
        <v>67</v>
      </c>
      <c r="B107" s="78">
        <v>1218.1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</f>
        <v>741.9000000000001</v>
      </c>
      <c r="E107" s="6">
        <f>D107/D106*100</f>
        <v>0.8007036781212229</v>
      </c>
      <c r="F107" s="6">
        <f t="shared" si="15"/>
        <v>60.90632952959528</v>
      </c>
      <c r="G107" s="6">
        <f t="shared" si="12"/>
        <v>41.221246805200586</v>
      </c>
      <c r="H107" s="6">
        <f aca="true" t="shared" si="16" ref="H107:H143">B107-D107</f>
        <v>476.1999999999998</v>
      </c>
      <c r="I107" s="6">
        <f t="shared" si="14"/>
        <v>1057.8999999999999</v>
      </c>
    </row>
    <row r="108" spans="1:9" ht="18">
      <c r="A108" s="29" t="s">
        <v>33</v>
      </c>
      <c r="B108" s="81">
        <v>498.1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81.81088134912667</v>
      </c>
      <c r="G108" s="1">
        <f t="shared" si="12"/>
        <v>49.47189510744202</v>
      </c>
      <c r="H108" s="1">
        <f t="shared" si="16"/>
        <v>90.60000000000002</v>
      </c>
      <c r="I108" s="1">
        <f t="shared" si="14"/>
        <v>416.20000000000005</v>
      </c>
    </row>
    <row r="109" spans="1:9" ht="34.5" customHeight="1">
      <c r="A109" s="17" t="s">
        <v>100</v>
      </c>
      <c r="B109" s="80">
        <v>618</v>
      </c>
      <c r="C109" s="68">
        <v>903.8</v>
      </c>
      <c r="D109" s="79">
        <f>20.7+31.6+0.1+27.7-0.1+31.4+0.1+10.6+34.1+43.9+13.6</f>
        <v>213.7</v>
      </c>
      <c r="E109" s="6">
        <f>D109/D106*100</f>
        <v>0.23063805905715767</v>
      </c>
      <c r="F109" s="6">
        <f>D109/B109*100</f>
        <v>34.579288025889966</v>
      </c>
      <c r="G109" s="6">
        <f t="shared" si="12"/>
        <v>23.644611639743307</v>
      </c>
      <c r="H109" s="6">
        <f t="shared" si="16"/>
        <v>404.3</v>
      </c>
      <c r="I109" s="6">
        <f t="shared" si="14"/>
        <v>690.0999999999999</v>
      </c>
    </row>
    <row r="110" spans="1:9" s="44" customFormat="1" ht="34.5" customHeight="1">
      <c r="A110" s="17" t="s">
        <v>75</v>
      </c>
      <c r="B110" s="80">
        <v>62.7</v>
      </c>
      <c r="C110" s="60">
        <f>71.8+12.8</f>
        <v>84.6</v>
      </c>
      <c r="D110" s="83">
        <f>5.3+5.3+0.5+1.7+6+6</f>
        <v>24.799999999999997</v>
      </c>
      <c r="E110" s="6">
        <f>D110/D106*100</f>
        <v>0.026765670868589195</v>
      </c>
      <c r="F110" s="6">
        <f t="shared" si="15"/>
        <v>39.55342902711323</v>
      </c>
      <c r="G110" s="6">
        <f t="shared" si="12"/>
        <v>29.314420803782504</v>
      </c>
      <c r="H110" s="6">
        <f t="shared" si="16"/>
        <v>37.900000000000006</v>
      </c>
      <c r="I110" s="6">
        <f t="shared" si="14"/>
        <v>59.8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44.9</v>
      </c>
      <c r="C112" s="68">
        <v>67.4</v>
      </c>
      <c r="D112" s="79">
        <f>5.5+5.4+5.5+5.5+5.5+5.5-0.1+2.7+0.1+2.7</f>
        <v>38.300000000000004</v>
      </c>
      <c r="E112" s="6">
        <f>D112/D106*100</f>
        <v>0.041335693317216385</v>
      </c>
      <c r="F112" s="6">
        <f t="shared" si="15"/>
        <v>85.30066815144768</v>
      </c>
      <c r="G112" s="6">
        <f t="shared" si="12"/>
        <v>56.82492581602374</v>
      </c>
      <c r="H112" s="6">
        <f t="shared" si="16"/>
        <v>6.599999999999994</v>
      </c>
      <c r="I112" s="6">
        <f t="shared" si="14"/>
        <v>29.1</v>
      </c>
    </row>
    <row r="113" spans="1:9" ht="37.5">
      <c r="A113" s="17" t="s">
        <v>47</v>
      </c>
      <c r="B113" s="80">
        <v>1029.9</v>
      </c>
      <c r="C113" s="68">
        <v>1532.5</v>
      </c>
      <c r="D113" s="79">
        <f>96.4+0.6+6.3+86+10.4+21.5+5.3+0.1+11.6+102.1+10.6+3.5+5.6+100.7+13.3+0.9+3.6+96.9-0.1+15.7+1.7+1+96.8+0.1+4+1+0.2+1.2+96.6+0.3-0.1</f>
        <v>793.8000000000002</v>
      </c>
      <c r="E113" s="6">
        <f>D113/D106*100</f>
        <v>0.8567173199792786</v>
      </c>
      <c r="F113" s="6">
        <f t="shared" si="15"/>
        <v>77.07544421788525</v>
      </c>
      <c r="G113" s="6">
        <f t="shared" si="12"/>
        <v>51.79771615008158</v>
      </c>
      <c r="H113" s="6">
        <f t="shared" si="16"/>
        <v>236.0999999999999</v>
      </c>
      <c r="I113" s="6">
        <f t="shared" si="14"/>
        <v>738.6999999999998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0.03885339319633915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0.06378432049732345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154</v>
      </c>
      <c r="C117" s="60">
        <f>199.6+4.8</f>
        <v>204.4</v>
      </c>
      <c r="D117" s="79">
        <f>1.6+18.3+17.8+0.8+2.2+4+0.6+16.7+3.7+3.6+16.7+3.4+1.3+16.7+2.9+0.8+16.7+0.1+0.8+1.3+16.7</f>
        <v>146.70000000000002</v>
      </c>
      <c r="E117" s="6">
        <f>D117/D106*100</f>
        <v>0.15832757727508207</v>
      </c>
      <c r="F117" s="6">
        <f t="shared" si="15"/>
        <v>95.25974025974027</v>
      </c>
      <c r="G117" s="6">
        <f t="shared" si="12"/>
        <v>71.77103718199609</v>
      </c>
      <c r="H117" s="6">
        <f t="shared" si="16"/>
        <v>7.299999999999983</v>
      </c>
      <c r="I117" s="6">
        <f t="shared" si="14"/>
        <v>57.69999999999999</v>
      </c>
    </row>
    <row r="118" spans="1:9" s="39" customFormat="1" ht="18">
      <c r="A118" s="40" t="s">
        <v>54</v>
      </c>
      <c r="B118" s="81">
        <v>117</v>
      </c>
      <c r="C118" s="51">
        <v>150.8</v>
      </c>
      <c r="D118" s="82">
        <f>16.7+16.7+16.7+16.7+16.7+16.7+16.7</f>
        <v>116.9</v>
      </c>
      <c r="E118" s="1"/>
      <c r="F118" s="1">
        <f t="shared" si="15"/>
        <v>99.91452991452991</v>
      </c>
      <c r="G118" s="1">
        <f t="shared" si="12"/>
        <v>77.51989389920423</v>
      </c>
      <c r="H118" s="1">
        <f t="shared" si="16"/>
        <v>0.09999999999999432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0.4298696252806079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1251</v>
      </c>
      <c r="C120" s="60">
        <f>628+70+553</f>
        <v>1251</v>
      </c>
      <c r="D120" s="83">
        <f>110.6+553+71.8</f>
        <v>735.4</v>
      </c>
      <c r="E120" s="19">
        <f>D120/D106*100</f>
        <v>0.7936884821274393</v>
      </c>
      <c r="F120" s="6">
        <f t="shared" si="15"/>
        <v>58.784972022382085</v>
      </c>
      <c r="G120" s="6">
        <f t="shared" si="12"/>
        <v>58.784972022382085</v>
      </c>
      <c r="H120" s="6">
        <f t="shared" si="16"/>
        <v>515.6</v>
      </c>
      <c r="I120" s="6">
        <f t="shared" si="14"/>
        <v>515.6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1614.1</v>
      </c>
      <c r="C123" s="60">
        <v>2933.8</v>
      </c>
      <c r="D123" s="83">
        <f>21+0.9+174.2+5+11.4+16.5-0.1+809.5+345.2</f>
        <v>1383.6000000000001</v>
      </c>
      <c r="E123" s="19">
        <f>D123/D106*100</f>
        <v>1.4932654118459683</v>
      </c>
      <c r="F123" s="6">
        <f t="shared" si="15"/>
        <v>85.7195960597237</v>
      </c>
      <c r="G123" s="6">
        <f t="shared" si="12"/>
        <v>47.16067898288909</v>
      </c>
      <c r="H123" s="6">
        <f t="shared" si="16"/>
        <v>230.49999999999977</v>
      </c>
      <c r="I123" s="6">
        <f t="shared" si="14"/>
        <v>1550.2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0.14019599378345712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0.0021585218442410643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112</v>
      </c>
      <c r="B126" s="80">
        <f>238.8-16.7</f>
        <v>222.10000000000002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222.10000000000002</v>
      </c>
      <c r="I126" s="6">
        <f t="shared" si="14"/>
        <v>332.3</v>
      </c>
    </row>
    <row r="127" spans="1:9" s="2" customFormat="1" ht="37.5">
      <c r="A127" s="17" t="s">
        <v>78</v>
      </c>
      <c r="B127" s="80">
        <v>743.3</v>
      </c>
      <c r="C127" s="60">
        <f>101.4+27.9+634</f>
        <v>763.3</v>
      </c>
      <c r="D127" s="83">
        <f>3+3+4.9+21.9-0.1+12.2+1.6+6.9+7.8+0.7+8.4+2.4+5+2.4+0.1+5.6+2.4+0.1+5+2.4</f>
        <v>95.7</v>
      </c>
      <c r="E127" s="19">
        <f>D127/D106*100</f>
        <v>0.1032852702469349</v>
      </c>
      <c r="F127" s="6">
        <f t="shared" si="15"/>
        <v>12.875016816897618</v>
      </c>
      <c r="G127" s="6">
        <f t="shared" si="12"/>
        <v>12.53766540023582</v>
      </c>
      <c r="H127" s="6">
        <f t="shared" si="16"/>
        <v>647.5999999999999</v>
      </c>
      <c r="I127" s="6">
        <f t="shared" si="14"/>
        <v>667.5999999999999</v>
      </c>
    </row>
    <row r="128" spans="1:9" s="2" customFormat="1" ht="18.75">
      <c r="A128" s="17" t="s">
        <v>72</v>
      </c>
      <c r="B128" s="80">
        <v>500.3</v>
      </c>
      <c r="C128" s="60">
        <v>650</v>
      </c>
      <c r="D128" s="83">
        <f>8.7+23.6+6.2+5.1+38.5+4.6+4.8+8.6+12.9+2.8+0.1+16.3+3+2.5+6.2-0.2+39.7+9.9+9.5+37.2+8.4+10.6+4.5+4.6</f>
        <v>268.1</v>
      </c>
      <c r="E128" s="19">
        <f>D128/D106*100</f>
        <v>0.28934985322051465</v>
      </c>
      <c r="F128" s="6">
        <f t="shared" si="15"/>
        <v>53.587847291625025</v>
      </c>
      <c r="G128" s="6">
        <f t="shared" si="12"/>
        <v>41.24615384615385</v>
      </c>
      <c r="H128" s="6">
        <f t="shared" si="16"/>
        <v>232.2</v>
      </c>
      <c r="I128" s="6">
        <f t="shared" si="14"/>
        <v>381.9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0.03798998445864273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111</v>
      </c>
      <c r="B131" s="80">
        <f>265.1+39.2</f>
        <v>304.3</v>
      </c>
      <c r="C131" s="60">
        <f>265.1+39.2</f>
        <v>304.3</v>
      </c>
      <c r="D131" s="83">
        <f>59.9+7.6+10.7+6.3+5.3+38.1+4+0.1+1.7+3.6+39.2+1.5</f>
        <v>178</v>
      </c>
      <c r="E131" s="19">
        <f>D131/D106*100</f>
        <v>0.1921084441374547</v>
      </c>
      <c r="F131" s="6">
        <f t="shared" si="15"/>
        <v>58.49490634242523</v>
      </c>
      <c r="G131" s="6">
        <f>D131/C131*100</f>
        <v>58.49490634242523</v>
      </c>
      <c r="H131" s="6">
        <f t="shared" si="16"/>
        <v>126.30000000000001</v>
      </c>
      <c r="I131" s="6">
        <f t="shared" si="14"/>
        <v>126.30000000000001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7.6+0.3+4.8+38.1+4+0.1+0.1</f>
        <v>55</v>
      </c>
      <c r="E132" s="1">
        <f>D132/D131*100</f>
        <v>30.89887640449438</v>
      </c>
      <c r="F132" s="1">
        <f t="shared" si="15"/>
        <v>85.66978193146417</v>
      </c>
      <c r="G132" s="1">
        <f>D132/C132*100</f>
        <v>85.66978193146417</v>
      </c>
      <c r="H132" s="1">
        <f t="shared" si="16"/>
        <v>9.200000000000003</v>
      </c>
      <c r="I132" s="1">
        <f t="shared" si="14"/>
        <v>9.200000000000003</v>
      </c>
    </row>
    <row r="133" spans="1:9" s="2" customFormat="1" ht="18.75">
      <c r="A133" s="17" t="s">
        <v>32</v>
      </c>
      <c r="B133" s="80">
        <v>654.9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</f>
        <v>574.5</v>
      </c>
      <c r="E133" s="19">
        <f>D133/D106*100</f>
        <v>0.6200353997582456</v>
      </c>
      <c r="F133" s="6">
        <f t="shared" si="15"/>
        <v>87.72331653687586</v>
      </c>
      <c r="G133" s="6">
        <f t="shared" si="12"/>
        <v>58.283453383382366</v>
      </c>
      <c r="H133" s="6">
        <f t="shared" si="16"/>
        <v>80.39999999999998</v>
      </c>
      <c r="I133" s="6">
        <f t="shared" si="14"/>
        <v>411.19999999999993</v>
      </c>
    </row>
    <row r="134" spans="1:9" s="39" customFormat="1" ht="18">
      <c r="A134" s="40" t="s">
        <v>54</v>
      </c>
      <c r="B134" s="81">
        <v>570.3</v>
      </c>
      <c r="C134" s="51">
        <v>848.7</v>
      </c>
      <c r="D134" s="82">
        <f>21.9+39.7+0.1+6.1+19+41-0.1+21.3+43.3+8.5+32.3+32.1+41.5+4.2+33.1+25.6+47+0.1+25.6+53.3</f>
        <v>495.60000000000014</v>
      </c>
      <c r="E134" s="1">
        <f>D134/D133*100</f>
        <v>86.26631853785904</v>
      </c>
      <c r="F134" s="1">
        <f aca="true" t="shared" si="17" ref="F134:F142">D134/B134*100</f>
        <v>86.90163072067337</v>
      </c>
      <c r="G134" s="1">
        <f t="shared" si="12"/>
        <v>58.39519264757867</v>
      </c>
      <c r="H134" s="1">
        <f t="shared" si="16"/>
        <v>74.69999999999982</v>
      </c>
      <c r="I134" s="1">
        <f t="shared" si="14"/>
        <v>353.0999999999999</v>
      </c>
    </row>
    <row r="135" spans="1:9" s="39" customFormat="1" ht="18">
      <c r="A135" s="29" t="s">
        <v>33</v>
      </c>
      <c r="B135" s="81">
        <v>22.1</v>
      </c>
      <c r="C135" s="51">
        <v>26.3</v>
      </c>
      <c r="D135" s="82">
        <f>7+6+0.2+7.1+0.1+0.4+0.3+0.1+0.3</f>
        <v>21.5</v>
      </c>
      <c r="E135" s="1">
        <f>D135/D133*100</f>
        <v>3.742384682332463</v>
      </c>
      <c r="F135" s="1">
        <f t="shared" si="17"/>
        <v>97.28506787330316</v>
      </c>
      <c r="G135" s="1">
        <f>D135/C135*100</f>
        <v>81.74904942965779</v>
      </c>
      <c r="H135" s="1">
        <f t="shared" si="16"/>
        <v>0.6000000000000014</v>
      </c>
      <c r="I135" s="1">
        <f t="shared" si="14"/>
        <v>4.800000000000001</v>
      </c>
    </row>
    <row r="136" spans="1:9" s="2" customFormat="1" ht="56.25">
      <c r="A136" s="23" t="s">
        <v>113</v>
      </c>
      <c r="B136" s="80">
        <v>200</v>
      </c>
      <c r="C136" s="60">
        <v>200</v>
      </c>
      <c r="D136" s="83">
        <v>200</v>
      </c>
      <c r="E136" s="19">
        <f>D136/D106*100</f>
        <v>0.21585218442410642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118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109</v>
      </c>
      <c r="B138" s="80">
        <f>2550+1900</f>
        <v>4450</v>
      </c>
      <c r="C138" s="60">
        <f>6500-2076-424+9200</f>
        <v>13200</v>
      </c>
      <c r="D138" s="83">
        <f>241.3+64.6+48.1+278.9+170.1</f>
        <v>803</v>
      </c>
      <c r="E138" s="19">
        <f>D138/D106*100</f>
        <v>0.8666465204627872</v>
      </c>
      <c r="F138" s="112">
        <f t="shared" si="17"/>
        <v>18.044943820224717</v>
      </c>
      <c r="G138" s="6">
        <f t="shared" si="12"/>
        <v>6.083333333333334</v>
      </c>
      <c r="H138" s="6">
        <f t="shared" si="16"/>
        <v>3647</v>
      </c>
      <c r="I138" s="6">
        <f t="shared" si="14"/>
        <v>12397</v>
      </c>
    </row>
    <row r="139" spans="1:9" s="2" customFormat="1" ht="18.75">
      <c r="A139" s="23" t="s">
        <v>114</v>
      </c>
      <c r="B139" s="80">
        <v>3774.8</v>
      </c>
      <c r="C139" s="60">
        <f>6082.6-959.5</f>
        <v>5123.1</v>
      </c>
      <c r="D139" s="83">
        <f>626.1+43.8+40.3+236+112.9+11.4-0.1+68.6+570.3+22.4+44.4+39.9+585.7+199.1+14+103.1+2.3+286.9+158.5</f>
        <v>3165.6000000000004</v>
      </c>
      <c r="E139" s="19">
        <f>D139/D106*100</f>
        <v>3.4165083750647565</v>
      </c>
      <c r="F139" s="112">
        <f t="shared" si="17"/>
        <v>83.86139663028506</v>
      </c>
      <c r="G139" s="6">
        <f t="shared" si="12"/>
        <v>61.79071265444751</v>
      </c>
      <c r="H139" s="6">
        <f t="shared" si="16"/>
        <v>609.1999999999998</v>
      </c>
      <c r="I139" s="6">
        <f t="shared" si="14"/>
        <v>1957.5</v>
      </c>
    </row>
    <row r="140" spans="1:9" s="2" customFormat="1" ht="18.75">
      <c r="A140" s="17" t="s">
        <v>27</v>
      </c>
      <c r="B140" s="80">
        <f>4188+2094</f>
        <v>6282</v>
      </c>
      <c r="C140" s="60">
        <v>8376</v>
      </c>
      <c r="D140" s="83">
        <f>2094+2094</f>
        <v>4188</v>
      </c>
      <c r="E140" s="19">
        <f>D140/D106*100</f>
        <v>4.5199447418407885</v>
      </c>
      <c r="F140" s="112">
        <f t="shared" si="17"/>
        <v>66.66666666666666</v>
      </c>
      <c r="G140" s="6">
        <f t="shared" si="12"/>
        <v>50</v>
      </c>
      <c r="H140" s="6">
        <f t="shared" si="16"/>
        <v>2094</v>
      </c>
      <c r="I140" s="6">
        <f t="shared" si="14"/>
        <v>4188</v>
      </c>
    </row>
    <row r="141" spans="1:12" s="2" customFormat="1" ht="18.75" customHeight="1">
      <c r="A141" s="17" t="s">
        <v>99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0.5808582282852703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65</v>
      </c>
      <c r="B142" s="80">
        <f>72594.9+6122.7</f>
        <v>78717.59999999999</v>
      </c>
      <c r="C142" s="60">
        <f>91632.1+2530-27+23.1+959.5+13590.1</f>
        <v>108707.80000000002</v>
      </c>
      <c r="D142" s="83">
        <f>500.9+20883.8+13804+7506.8+2189.4+1247.6+18786.6</f>
        <v>64919.1</v>
      </c>
      <c r="E142" s="19">
        <f>D142/D106*100</f>
        <v>70.06464772923503</v>
      </c>
      <c r="F142" s="6">
        <f t="shared" si="17"/>
        <v>82.47088325863594</v>
      </c>
      <c r="G142" s="6">
        <f t="shared" si="12"/>
        <v>59.71889781598008</v>
      </c>
      <c r="H142" s="6">
        <f t="shared" si="16"/>
        <v>13798.499999999993</v>
      </c>
      <c r="I142" s="6">
        <f t="shared" si="14"/>
        <v>43788.70000000002</v>
      </c>
      <c r="K142" s="103"/>
      <c r="L142" s="45"/>
    </row>
    <row r="143" spans="1:12" s="2" customFormat="1" ht="18.75">
      <c r="A143" s="17" t="s">
        <v>103</v>
      </c>
      <c r="B143" s="80">
        <f>12987.1+1855.3</f>
        <v>14842.4</v>
      </c>
      <c r="C143" s="60">
        <v>22263.4</v>
      </c>
      <c r="D143" s="83">
        <f>1236.9+618.4+618.4+618.4+618.5+618.4+618.4+618.5+618.4+618.4+618.5+618.4+618.4+618.5+618.4+618.4+618.5+618.4+618.4+618.5</f>
        <v>12987.099999999997</v>
      </c>
      <c r="E143" s="19">
        <f>D143/D106*100</f>
        <v>14.016469521671556</v>
      </c>
      <c r="F143" s="6">
        <f t="shared" si="15"/>
        <v>87.49999999999997</v>
      </c>
      <c r="G143" s="6">
        <f t="shared" si="12"/>
        <v>58.333857362307626</v>
      </c>
      <c r="H143" s="6">
        <f t="shared" si="16"/>
        <v>1855.300000000003</v>
      </c>
      <c r="I143" s="6">
        <f t="shared" si="14"/>
        <v>9276.300000000005</v>
      </c>
      <c r="K143" s="45"/>
      <c r="L143" s="45"/>
    </row>
    <row r="144" spans="1:12" s="2" customFormat="1" ht="19.5" thickBot="1">
      <c r="A144" s="41" t="s">
        <v>37</v>
      </c>
      <c r="B144" s="84">
        <f>B43+B68+B71+B76+B78+B86+B101+B106+B99+B83+B97</f>
        <v>126578.79999999997</v>
      </c>
      <c r="C144" s="84">
        <f>C43+C68+C71+C76+C78+C86+C101+C106+C99+C83+C97</f>
        <v>185191.99999999997</v>
      </c>
      <c r="D144" s="60">
        <f>D43+D68+D71+D76+D78+D86+D101+D106+D99+D83+D97</f>
        <v>96990.19999999998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634386.8999999999</v>
      </c>
      <c r="C145" s="54">
        <f>C6+C18+C33+C43+C51+C58+C68+C71+C76+C78+C86+C89+C94+C101+C106+C99+C83+C97+C45</f>
        <v>967182.8</v>
      </c>
      <c r="D145" s="54">
        <f>D6+D18+D33+D43+D51+D58+D68+D71+D76+D78+D86+D89+D94+D101+D106+D99+D83+D97+D45</f>
        <v>538018.7000000001</v>
      </c>
      <c r="E145" s="38">
        <v>100</v>
      </c>
      <c r="F145" s="3">
        <f>D145/B145*100</f>
        <v>84.80923865231141</v>
      </c>
      <c r="G145" s="3">
        <f aca="true" t="shared" si="18" ref="G145:G151">D145/C145*100</f>
        <v>55.62740569828165</v>
      </c>
      <c r="H145" s="3">
        <f aca="true" t="shared" si="19" ref="H145:H151">B145-D145</f>
        <v>96368.19999999984</v>
      </c>
      <c r="I145" s="3">
        <f aca="true" t="shared" si="20" ref="I145:I151">C145-D145</f>
        <v>429164.1</v>
      </c>
      <c r="K145" s="46"/>
      <c r="L145" s="47"/>
    </row>
    <row r="146" spans="1:12" ht="18.75">
      <c r="A146" s="23" t="s">
        <v>5</v>
      </c>
      <c r="B146" s="67">
        <f>B8+B20+B34+B52+B59+B90+B114+B118+B46+B134</f>
        <v>355383.10000000003</v>
      </c>
      <c r="C146" s="67">
        <f>C8+C20+C34+C52+C59+C90+C114+C118+C46+C134</f>
        <v>558041.7</v>
      </c>
      <c r="D146" s="67">
        <f>D8+D20+D34+D52+D59+D90+D114+D118+D46+D134</f>
        <v>314065.3999999999</v>
      </c>
      <c r="E146" s="6">
        <f>D146/D145*100</f>
        <v>58.374439401455724</v>
      </c>
      <c r="F146" s="6">
        <f aca="true" t="shared" si="21" ref="F146:F157">D146/B146*100</f>
        <v>88.37375778420522</v>
      </c>
      <c r="G146" s="6">
        <f t="shared" si="18"/>
        <v>56.27991599910902</v>
      </c>
      <c r="H146" s="6">
        <f t="shared" si="19"/>
        <v>41317.70000000013</v>
      </c>
      <c r="I146" s="18">
        <f t="shared" si="20"/>
        <v>243976.30000000005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66495.7</v>
      </c>
      <c r="C147" s="68">
        <f>C11+C23+C36+C55+C61+C91+C49+C135+C108+C111+C95+C132</f>
        <v>99794.5</v>
      </c>
      <c r="D147" s="68">
        <f>D11+D23+D36+D55+D61+D91+D49+D135+D108+D111+D95+D132</f>
        <v>56407.10000000001</v>
      </c>
      <c r="E147" s="6">
        <f>D147/D145*100</f>
        <v>10.484226663497013</v>
      </c>
      <c r="F147" s="6">
        <f t="shared" si="21"/>
        <v>84.82819189812277</v>
      </c>
      <c r="G147" s="6">
        <f t="shared" si="18"/>
        <v>56.52325528962018</v>
      </c>
      <c r="H147" s="6">
        <f t="shared" si="19"/>
        <v>10088.599999999984</v>
      </c>
      <c r="I147" s="18">
        <f t="shared" si="20"/>
        <v>43387.39999999999</v>
      </c>
      <c r="K147" s="46"/>
      <c r="L147" s="102"/>
    </row>
    <row r="148" spans="1:12" ht="18.75">
      <c r="A148" s="23" t="s">
        <v>1</v>
      </c>
      <c r="B148" s="67">
        <f>B22+B10+B54+B48+B60+B35+B102+B122</f>
        <v>15554.9</v>
      </c>
      <c r="C148" s="67">
        <f>C22+C10+C54+C48+C60+C35+C102+C122</f>
        <v>25986.7</v>
      </c>
      <c r="D148" s="67">
        <f>D22+D10+D54+D48+D60+D35+D102+D122</f>
        <v>12561.4</v>
      </c>
      <c r="E148" s="6">
        <f>D148/D145*100</f>
        <v>2.3347515616092895</v>
      </c>
      <c r="F148" s="6">
        <f t="shared" si="21"/>
        <v>80.75526040025971</v>
      </c>
      <c r="G148" s="6">
        <f t="shared" si="18"/>
        <v>48.337803568748626</v>
      </c>
      <c r="H148" s="6">
        <f t="shared" si="19"/>
        <v>2993.5</v>
      </c>
      <c r="I148" s="18">
        <f t="shared" si="20"/>
        <v>13425.300000000001</v>
      </c>
      <c r="K148" s="46"/>
      <c r="L148" s="47"/>
    </row>
    <row r="149" spans="1:12" ht="21" customHeight="1">
      <c r="A149" s="23" t="s">
        <v>15</v>
      </c>
      <c r="B149" s="67">
        <f>B12+B24+B103+B62+B38+B92</f>
        <v>9032.2</v>
      </c>
      <c r="C149" s="67">
        <f>C12+C24+C103+C62+C38+C92</f>
        <v>14325.800000000003</v>
      </c>
      <c r="D149" s="67">
        <f>D12+D24+D103+D62+D38+D92</f>
        <v>5036.900000000001</v>
      </c>
      <c r="E149" s="6">
        <f>D149/D145*100</f>
        <v>0.9361942252193093</v>
      </c>
      <c r="F149" s="6">
        <f t="shared" si="21"/>
        <v>55.76603706738115</v>
      </c>
      <c r="G149" s="6">
        <f t="shared" si="18"/>
        <v>35.15964204442334</v>
      </c>
      <c r="H149" s="6">
        <f t="shared" si="19"/>
        <v>3995.3</v>
      </c>
      <c r="I149" s="18">
        <f t="shared" si="20"/>
        <v>9288.900000000001</v>
      </c>
      <c r="K149" s="46"/>
      <c r="L149" s="102"/>
    </row>
    <row r="150" spans="1:12" ht="18.75">
      <c r="A150" s="23" t="s">
        <v>2</v>
      </c>
      <c r="B150" s="67">
        <f>B9+B21+B47+B53+B121</f>
        <v>8092.900000000001</v>
      </c>
      <c r="C150" s="67">
        <f>C9+C21+C47+C53+C121</f>
        <v>13124.6</v>
      </c>
      <c r="D150" s="67">
        <f>D9+D21+D47+D53+D121</f>
        <v>4949.599999999999</v>
      </c>
      <c r="E150" s="6">
        <f>D150/D145*100</f>
        <v>0.9199680234162863</v>
      </c>
      <c r="F150" s="6">
        <f t="shared" si="21"/>
        <v>61.15978203116311</v>
      </c>
      <c r="G150" s="6">
        <f t="shared" si="18"/>
        <v>37.71238742514057</v>
      </c>
      <c r="H150" s="6">
        <f t="shared" si="19"/>
        <v>3143.300000000001</v>
      </c>
      <c r="I150" s="18">
        <f t="shared" si="20"/>
        <v>8175.000000000001</v>
      </c>
      <c r="K150" s="46"/>
      <c r="L150" s="47"/>
    </row>
    <row r="151" spans="1:12" ht="19.5" thickBot="1">
      <c r="A151" s="23" t="s">
        <v>35</v>
      </c>
      <c r="B151" s="67">
        <f>B145-B146-B147-B148-B149-B150</f>
        <v>179828.09999999986</v>
      </c>
      <c r="C151" s="67">
        <f>C145-C146-C147-C148-C149-C150</f>
        <v>255909.5000000001</v>
      </c>
      <c r="D151" s="67">
        <f>D145-D146-D147-D148-D149-D150</f>
        <v>144998.30000000016</v>
      </c>
      <c r="E151" s="6">
        <f>D151/D145*100</f>
        <v>26.95042012480238</v>
      </c>
      <c r="F151" s="6">
        <f t="shared" si="21"/>
        <v>80.6316143027704</v>
      </c>
      <c r="G151" s="43">
        <f t="shared" si="18"/>
        <v>56.65999112967675</v>
      </c>
      <c r="H151" s="6">
        <f t="shared" si="19"/>
        <v>34829.7999999997</v>
      </c>
      <c r="I151" s="6">
        <f t="shared" si="20"/>
        <v>110911.19999999992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16653.2</v>
      </c>
      <c r="C153" s="73">
        <f>3301.9+496+14356.4</f>
        <v>18154.3</v>
      </c>
      <c r="D153" s="73">
        <f>288.1+1522.4+951.8+530.2+8.8+0.5+0.1+495.9+10.6+101+174.6+2.1+509.4+15+8.4+488.4+154.3+94.8+166.1+65.8+286.9+80.4+239.8+10.1+12.9</f>
        <v>6218.4</v>
      </c>
      <c r="E153" s="15"/>
      <c r="F153" s="6">
        <f t="shared" si="21"/>
        <v>37.34057118151466</v>
      </c>
      <c r="G153" s="6">
        <f aca="true" t="shared" si="22" ref="G153:G162">D153/C153*100</f>
        <v>34.253041979035274</v>
      </c>
      <c r="H153" s="6">
        <f>B153-D153</f>
        <v>10434.800000000001</v>
      </c>
      <c r="I153" s="6">
        <f aca="true" t="shared" si="23" ref="I153:I162">C153-D153</f>
        <v>11935.9</v>
      </c>
      <c r="K153" s="46"/>
      <c r="L153" s="46"/>
    </row>
    <row r="154" spans="1:12" ht="18.75">
      <c r="A154" s="23" t="s">
        <v>22</v>
      </c>
      <c r="B154" s="88">
        <f>10210.3+100+280+2027.5-195</f>
        <v>12422.8</v>
      </c>
      <c r="C154" s="67">
        <f>16860.5-195</f>
        <v>16665.5</v>
      </c>
      <c r="D154" s="67">
        <f>132.1+649.5+498.6+2.9+146.5+119.3+11.1+935+701.6+2.9+12.3-0.1+18.6</f>
        <v>3230.3</v>
      </c>
      <c r="E154" s="6"/>
      <c r="F154" s="6">
        <f t="shared" si="21"/>
        <v>26.002994493994912</v>
      </c>
      <c r="G154" s="6">
        <f t="shared" si="22"/>
        <v>19.383156820977472</v>
      </c>
      <c r="H154" s="6">
        <f aca="true" t="shared" si="24" ref="H154:H161">B154-D154</f>
        <v>9192.5</v>
      </c>
      <c r="I154" s="6">
        <f t="shared" si="23"/>
        <v>13435.2</v>
      </c>
      <c r="K154" s="46"/>
      <c r="L154" s="46"/>
    </row>
    <row r="155" spans="1:12" ht="18.75">
      <c r="A155" s="23" t="s">
        <v>61</v>
      </c>
      <c r="B155" s="88">
        <f>103951-280+40608.6+6317.7</f>
        <v>150597.30000000002</v>
      </c>
      <c r="C155" s="67">
        <f>105956.2+2530+90940.5+959.5+13785.1</f>
        <v>214171.30000000002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</f>
        <v>25867.80000000001</v>
      </c>
      <c r="E155" s="6"/>
      <c r="F155" s="6">
        <f t="shared" si="21"/>
        <v>17.176801974537398</v>
      </c>
      <c r="G155" s="6">
        <f t="shared" si="22"/>
        <v>12.078088894263614</v>
      </c>
      <c r="H155" s="6">
        <f t="shared" si="24"/>
        <v>124729.5</v>
      </c>
      <c r="I155" s="6">
        <f t="shared" si="23"/>
        <v>188303.5</v>
      </c>
      <c r="K155" s="46"/>
      <c r="L155" s="46"/>
    </row>
    <row r="156" spans="1:12" ht="37.5">
      <c r="A156" s="23" t="s">
        <v>70</v>
      </c>
      <c r="B156" s="88">
        <v>309.4</v>
      </c>
      <c r="C156" s="67">
        <v>509.4</v>
      </c>
      <c r="D156" s="67">
        <f>309.4</f>
        <v>309.4</v>
      </c>
      <c r="E156" s="6"/>
      <c r="F156" s="6">
        <f t="shared" si="21"/>
        <v>100</v>
      </c>
      <c r="G156" s="6">
        <f t="shared" si="22"/>
        <v>60.73812328229289</v>
      </c>
      <c r="H156" s="6">
        <f t="shared" si="24"/>
        <v>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12600.4</v>
      </c>
      <c r="C157" s="67">
        <f>54+13623.4</f>
        <v>13677.4</v>
      </c>
      <c r="D157" s="67">
        <f>5.2+5.1+225.1+114.9+40.2+5.2+4.6+89.9+13.6+4.1+10.7</f>
        <v>518.6000000000001</v>
      </c>
      <c r="E157" s="19"/>
      <c r="F157" s="6">
        <f t="shared" si="21"/>
        <v>4.115742357385481</v>
      </c>
      <c r="G157" s="6">
        <f t="shared" si="22"/>
        <v>3.791656308947608</v>
      </c>
      <c r="H157" s="6">
        <f t="shared" si="24"/>
        <v>12081.8</v>
      </c>
      <c r="I157" s="6">
        <f t="shared" si="23"/>
        <v>13158.8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53</v>
      </c>
      <c r="B159" s="88">
        <v>841.5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58.76411170528818</v>
      </c>
      <c r="G159" s="6">
        <f t="shared" si="22"/>
        <v>36.079089449875966</v>
      </c>
      <c r="H159" s="6">
        <f t="shared" si="24"/>
        <v>347</v>
      </c>
      <c r="I159" s="6">
        <f t="shared" si="23"/>
        <v>876.0999999999999</v>
      </c>
    </row>
    <row r="160" spans="1:9" ht="19.5" customHeight="1">
      <c r="A160" s="23" t="s">
        <v>68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62</v>
      </c>
      <c r="B161" s="88">
        <v>3718.8</v>
      </c>
      <c r="C161" s="89">
        <v>3718.8</v>
      </c>
      <c r="D161" s="89">
        <f>98.8+11.3+146.1+110.9-0.1+10.1+85.3+20.5+418+104.6+257.6+46.9+315.7+1.5+1.4+47.1+128.3+440+24.2+62.6+0.1</f>
        <v>2330.8999999999996</v>
      </c>
      <c r="E161" s="24"/>
      <c r="F161" s="6">
        <f>D161/B161*100</f>
        <v>62.67882112509411</v>
      </c>
      <c r="G161" s="6">
        <f t="shared" si="22"/>
        <v>62.67882112509411</v>
      </c>
      <c r="H161" s="6">
        <f t="shared" si="24"/>
        <v>1387.9000000000005</v>
      </c>
      <c r="I161" s="6">
        <f t="shared" si="23"/>
        <v>1387.9000000000005</v>
      </c>
    </row>
    <row r="162" spans="1:9" ht="19.5" thickBot="1">
      <c r="A162" s="14" t="s">
        <v>20</v>
      </c>
      <c r="B162" s="90">
        <f>B145+B153+B157+B158+B154+B161+B160+B155+B159+B156</f>
        <v>831837.9</v>
      </c>
      <c r="C162" s="90">
        <f>C145+C153+C157+C158+C154+C161+C160+C155+C159+C156</f>
        <v>1235757.7000000002</v>
      </c>
      <c r="D162" s="90">
        <f>D145+D153+D157+D158+D154+D161+D160+D155+D159+D156</f>
        <v>576988.6000000002</v>
      </c>
      <c r="E162" s="25"/>
      <c r="F162" s="3">
        <f>D162/B162*100</f>
        <v>69.36310548004607</v>
      </c>
      <c r="G162" s="3">
        <f t="shared" si="22"/>
        <v>46.69107867990627</v>
      </c>
      <c r="H162" s="3">
        <f>B162-D162</f>
        <v>254849.2999999998</v>
      </c>
      <c r="I162" s="3">
        <f t="shared" si="23"/>
        <v>658769.1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39</v>
      </c>
      <c r="E2" s="5">
        <f>'аналіз фінансування'!D145</f>
        <v>538018.7000000001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39</v>
      </c>
      <c r="E2" s="5">
        <f>'аналіз фінансування'!D145</f>
        <v>538018.7000000001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2015-08-03T09:10:01Z</cp:lastPrinted>
  <dcterms:created xsi:type="dcterms:W3CDTF">2000-06-20T04:48:00Z</dcterms:created>
  <dcterms:modified xsi:type="dcterms:W3CDTF">2015-08-06T05:05:38Z</dcterms:modified>
  <cp:category/>
  <cp:version/>
  <cp:contentType/>
  <cp:contentStatus/>
</cp:coreProperties>
</file>